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BDI" sheetId="13" r:id="rId1"/>
    <sheet name="ORÇAMENTO " sheetId="9" r:id="rId2"/>
    <sheet name="CRONOGRAMA DE EXECUÇÃO" sheetId="11" r:id="rId3"/>
  </sheets>
  <definedNames>
    <definedName name="_xlnm.Print_Area" localSheetId="1">'ORÇAMENTO '!$A$1:$I$37</definedName>
  </definedNames>
  <calcPr calcId="145621"/>
</workbook>
</file>

<file path=xl/calcChain.xml><?xml version="1.0" encoding="utf-8"?>
<calcChain xmlns="http://schemas.openxmlformats.org/spreadsheetml/2006/main">
  <c r="I14" i="11" l="1"/>
  <c r="I12" i="11"/>
  <c r="I10" i="11"/>
  <c r="I8" i="11"/>
  <c r="H14" i="11"/>
  <c r="I34" i="9" l="1"/>
  <c r="D13" i="11" l="1"/>
  <c r="E13" i="11" s="1"/>
  <c r="E11" i="11"/>
  <c r="G11" i="11" s="1"/>
  <c r="G14" i="11" s="1"/>
  <c r="G16" i="11" s="1"/>
  <c r="D9" i="11"/>
  <c r="E14" i="11" l="1"/>
  <c r="E16" i="11" s="1"/>
  <c r="F11" i="11"/>
  <c r="F14" i="11" s="1"/>
  <c r="F16" i="11" s="1"/>
  <c r="D14" i="11"/>
  <c r="D16" i="11" s="1"/>
  <c r="D17" i="11" s="1"/>
  <c r="J28" i="9"/>
  <c r="K25" i="9"/>
  <c r="D15" i="11" l="1"/>
  <c r="E15" i="11" s="1"/>
  <c r="F15" i="11"/>
  <c r="G15" i="11" s="1"/>
  <c r="E17" i="11"/>
  <c r="F17" i="11" s="1"/>
  <c r="G17" i="11" s="1"/>
  <c r="I10" i="9"/>
  <c r="H9" i="9"/>
  <c r="I9" i="9" s="1"/>
  <c r="M33" i="9" l="1"/>
  <c r="J27" i="9"/>
  <c r="J23" i="9"/>
  <c r="J17" i="9" l="1"/>
  <c r="H17" i="9"/>
  <c r="I17" i="9" s="1"/>
  <c r="H16" i="9"/>
  <c r="I16" i="9" s="1"/>
  <c r="H15" i="9"/>
  <c r="I15" i="9" s="1"/>
  <c r="J13" i="9"/>
  <c r="H13" i="9"/>
  <c r="I13" i="9" s="1"/>
  <c r="J31" i="9"/>
  <c r="J25" i="9"/>
  <c r="H27" i="9"/>
  <c r="I27" i="9" s="1"/>
  <c r="H28" i="9"/>
  <c r="I28" i="9" s="1"/>
  <c r="H26" i="9"/>
  <c r="I26" i="9" s="1"/>
  <c r="H25" i="9"/>
  <c r="I25" i="9" s="1"/>
  <c r="H23" i="9"/>
  <c r="I23" i="9" s="1"/>
  <c r="Q31" i="9" l="1"/>
  <c r="J14" i="9"/>
  <c r="J32" i="9" l="1"/>
  <c r="J33" i="9"/>
  <c r="Q4" i="9"/>
  <c r="R3" i="9"/>
  <c r="H33" i="9"/>
  <c r="I33" i="9" s="1"/>
  <c r="H32" i="9"/>
  <c r="I32" i="9" s="1"/>
  <c r="H14" i="9"/>
  <c r="J21" i="9"/>
  <c r="K21" i="9" s="1"/>
  <c r="K38" i="9"/>
  <c r="I14" i="9" l="1"/>
  <c r="H31" i="9"/>
  <c r="H30" i="9"/>
  <c r="H22" i="9"/>
  <c r="H21" i="9"/>
  <c r="I22" i="9" l="1"/>
  <c r="I31" i="9" l="1"/>
  <c r="I30" i="9"/>
  <c r="I21" i="9"/>
  <c r="H12" i="9"/>
  <c r="I12" i="9" s="1"/>
  <c r="I18" i="9" s="1"/>
  <c r="I35" i="9" l="1"/>
</calcChain>
</file>

<file path=xl/sharedStrings.xml><?xml version="1.0" encoding="utf-8"?>
<sst xmlns="http://schemas.openxmlformats.org/spreadsheetml/2006/main" count="182" uniqueCount="133">
  <si>
    <t>m²</t>
  </si>
  <si>
    <t>m³</t>
  </si>
  <si>
    <t>SERVIÇO</t>
  </si>
  <si>
    <t>UND</t>
  </si>
  <si>
    <t>QTD</t>
  </si>
  <si>
    <t>CÓDIGO</t>
  </si>
  <si>
    <t>NOTA:</t>
  </si>
  <si>
    <t>$UNIT</t>
  </si>
  <si>
    <t>ITEM</t>
  </si>
  <si>
    <t>FONTE</t>
  </si>
  <si>
    <t>1.1</t>
  </si>
  <si>
    <t>2.1</t>
  </si>
  <si>
    <t>$UNIT+BDI=</t>
  </si>
  <si>
    <t xml:space="preserve">TOTAL </t>
  </si>
  <si>
    <t>$TOTAL+BDI</t>
  </si>
  <si>
    <t>Retirada manual de paralelepípedo ou lajota de concreto, inclusive limpeza e empilhamento</t>
  </si>
  <si>
    <t>04.40.070</t>
  </si>
  <si>
    <t>DRENAGEM</t>
  </si>
  <si>
    <t>2.2</t>
  </si>
  <si>
    <t>2.3</t>
  </si>
  <si>
    <t>Escavação manual em solo de 1ª e 2ª categoria em vala ou cava até 1,5 m</t>
  </si>
  <si>
    <t>06.02.020</t>
  </si>
  <si>
    <t>Manta geotêxtil com resistência à tração longitudinal de 16kN/m e transversal de 14kN/m</t>
  </si>
  <si>
    <t>08.05.190</t>
  </si>
  <si>
    <t>Reaterro manual apiloado sem controle de compactação</t>
  </si>
  <si>
    <t>06.11.040</t>
  </si>
  <si>
    <t xml:space="preserve">un </t>
  </si>
  <si>
    <t>COMPOSIÇÃO CPOS</t>
  </si>
  <si>
    <t>escavação</t>
  </si>
  <si>
    <t>escavação total</t>
  </si>
  <si>
    <t>2.4</t>
  </si>
  <si>
    <t>2.5</t>
  </si>
  <si>
    <t xml:space="preserve">SUB TOTAL </t>
  </si>
  <si>
    <t>46.12.080</t>
  </si>
  <si>
    <t>m</t>
  </si>
  <si>
    <t>Tubo de concreto (PA-1), DN= 600mm</t>
  </si>
  <si>
    <t>54.01.210</t>
  </si>
  <si>
    <t>CDHU</t>
  </si>
  <si>
    <t>54.06.160</t>
  </si>
  <si>
    <t>Sarjeta ou sarjetão moldado no local, tipo PMSP em concreto com fck 20 Mpa (sarjeta)</t>
  </si>
  <si>
    <t>Sarjeta ou sarjetão moldado no local, tipo PMSP em concreto com fck 20 Mpa (sarjetão)</t>
  </si>
  <si>
    <t>sarjetão</t>
  </si>
  <si>
    <t>sarjeta</t>
  </si>
  <si>
    <r>
      <t xml:space="preserve">Os valores dos preços unitários utilizados estão baseados na Tabela de Preço Unitário da Companhia de Desenvolvimento Habitacional e Urbano - </t>
    </r>
    <r>
      <rPr>
        <b/>
        <sz val="9"/>
        <color theme="1"/>
        <rFont val="Arial"/>
        <family val="2"/>
      </rPr>
      <t>CDHU - Versão 180</t>
    </r>
    <r>
      <rPr>
        <sz val="9"/>
        <color theme="1"/>
        <rFont val="Arial"/>
        <family val="2"/>
      </rPr>
      <t xml:space="preserve">, considerando o </t>
    </r>
    <r>
      <rPr>
        <b/>
        <sz val="9"/>
        <color theme="1"/>
        <rFont val="Arial"/>
        <family val="2"/>
      </rPr>
      <t>BDI =25,00%</t>
    </r>
  </si>
  <si>
    <t>Base de brita graduada - e = 15 cm</t>
  </si>
  <si>
    <t>Boca de Lobo Dupla (2 m X 1 m X 1 m) com 1 acesso</t>
  </si>
  <si>
    <t>Poço de visita de 1,60 x 1,60 x 1,60 m - tipo PMSP</t>
  </si>
  <si>
    <t>TUBULAÇÃO 0,60</t>
  </si>
  <si>
    <t>SERVIÇOS COMPLEMENTARES</t>
  </si>
  <si>
    <t>Abertura de caixa até 25 cm, inclui escavação, compactação, transporte e preparo do sub-leito</t>
  </si>
  <si>
    <t>54.01.400</t>
  </si>
  <si>
    <t>54.03.240</t>
  </si>
  <si>
    <t>Imprimação betuminosa impermeabilizante</t>
  </si>
  <si>
    <t>54.03.230</t>
  </si>
  <si>
    <t>Imprimação betuminosa ligante</t>
  </si>
  <si>
    <t>54.03.210</t>
  </si>
  <si>
    <t xml:space="preserve">m³ </t>
  </si>
  <si>
    <r>
      <t xml:space="preserve">Camada de rolamento em concreto asfáltico usinado a quente - (CBUQ); </t>
    </r>
    <r>
      <rPr>
        <b/>
        <sz val="10"/>
        <rFont val="Arial"/>
        <family val="2"/>
      </rPr>
      <t>e = 3,5 cm</t>
    </r>
  </si>
  <si>
    <t>TUBULAÇÃO 0,80 (EXISTENTE)</t>
  </si>
  <si>
    <t>SERVIÇOS PRELIMINARES</t>
  </si>
  <si>
    <t>Placa de identificação para obra</t>
  </si>
  <si>
    <t>2.6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</si>
  <si>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</si>
  <si>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</si>
  <si>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</si>
  <si>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</si>
  <si>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</si>
  <si>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</si>
  <si>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</si>
  <si>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</si>
  <si>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</si>
  <si>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</si>
  <si>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</si>
  <si>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</si>
  <si>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</si>
  <si>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</si>
  <si>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02.08.020</t>
  </si>
  <si>
    <t>OBJETO: MANUTENÇÃO DO SISTEMA DE DRENAGEM E PAVIMENTAÇÃO ASFÁLTICA DE TRECHO DA RUA PADRE MATHIAS WIRTZ</t>
  </si>
  <si>
    <t>PAVIMENTAÇÃO ASFÁLTICA E OBRAS COMPLEMENTARES</t>
  </si>
  <si>
    <t>CRONOGRAMA FÍSICO-FINANCEIRO</t>
  </si>
  <si>
    <t>Item</t>
  </si>
  <si>
    <t>DESCRIÇÃO DOS SERVIÇOS</t>
  </si>
  <si>
    <t>PERÍODO</t>
  </si>
  <si>
    <t>Valor do(s)  Item(ns)</t>
  </si>
  <si>
    <t>Participação</t>
  </si>
  <si>
    <t>30 DIAS</t>
  </si>
  <si>
    <t>60 DIAS</t>
  </si>
  <si>
    <t>90 DIAS</t>
  </si>
  <si>
    <t>120 DIAS</t>
  </si>
  <si>
    <t>PAVIMENTAÇÃO</t>
  </si>
  <si>
    <t>Total Mensal (R$)</t>
  </si>
  <si>
    <t>Total acumulado (R$)</t>
  </si>
  <si>
    <t>Percentual Mensal</t>
  </si>
  <si>
    <t xml:space="preserve"> </t>
  </si>
  <si>
    <t>Percentual Acumulado</t>
  </si>
  <si>
    <t>PLANILHA OTÇAMENTÁRIA</t>
  </si>
  <si>
    <t>TIMBRE</t>
  </si>
  <si>
    <t>COMPOSIÇÃO DO BDI</t>
  </si>
  <si>
    <t>COMPOSIÇÃO DO BDI (acórdão 2622/2013-TCU-Plenário)</t>
  </si>
  <si>
    <t>ITENS</t>
  </si>
  <si>
    <t>DESCRIÇÃO</t>
  </si>
  <si>
    <t>%</t>
  </si>
  <si>
    <t>AC</t>
  </si>
  <si>
    <t>Administraçao central</t>
  </si>
  <si>
    <t>S + G</t>
  </si>
  <si>
    <t>Seguros e Garantias</t>
  </si>
  <si>
    <t xml:space="preserve">R </t>
  </si>
  <si>
    <t>Riscos</t>
  </si>
  <si>
    <t>DF</t>
  </si>
  <si>
    <t>Despesas Financeiras</t>
  </si>
  <si>
    <t>L</t>
  </si>
  <si>
    <t>Lucro/Remuneração</t>
  </si>
  <si>
    <t>l</t>
  </si>
  <si>
    <t>Impostos/tributos</t>
  </si>
  <si>
    <t>PIS</t>
  </si>
  <si>
    <t>COFINS</t>
  </si>
  <si>
    <t>ISS</t>
  </si>
  <si>
    <t>Contribuição Previdenciaria</t>
  </si>
  <si>
    <t>Taxa do BDI  (%)</t>
  </si>
  <si>
    <t>Fórmula usada no cálculo do BDI ou LDI (acórdão 2622/2013-TCU-Plenário):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</si>
  <si>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</si>
  <si>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</si>
  <si>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</si>
  <si>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</si>
  <si>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</si>
  <si>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</si>
  <si>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</si>
  <si>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 e Contribuição Previdenciária).</t>
  </si>
  <si>
    <t>Obs.:</t>
  </si>
  <si>
    <t>Para orçamentos considerando a Desoneração Fiscal deverá ser somada a alíquota de 2% referente a Contibuição Previdenciária no item impostos.</t>
  </si>
  <si>
    <t>LOCAL,DATA</t>
  </si>
  <si>
    <t>ASSINATURA</t>
  </si>
  <si>
    <t>LOCAL ,DATA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</si>
</sst>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######"/>
    <numFmt numFmtId="165" formatCode="00"/>
    <numFmt numFmtId="166" formatCode="_(* #,##0.00_);_(* \(#,##0.00\);_(* &quot;-&quot;??_);_(@_)"/>
    <numFmt numFmtId="167" formatCode="&quot;R$&quot;\ #,##0.00"/>
    <numFmt numFmtId="168" formatCode="#,##0.00&quot; &quot;;&quot; (&quot;#,##0.00&quot;)&quot;;&quot; -&quot;#&quot; &quot;;@&quot; &quot;"/>
    <numFmt numFmtId="169" formatCode="#,##0.00&quot; &quot;;&quot;-&quot;#,##0.00&quot; &quot;;&quot; -&quot;#&quot; &quot;;@&quot; &quot;"/>
    <numFmt numFmtId="170" formatCode="[$R$-416]&quot; &quot;#,##0.00;[Red]&quot;-&quot;[$R$-416]&quot; &quot;#,##0.00"/>
    <numFmt numFmtId="171" formatCode="&quot;R$ 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sz val="10"/>
      <color rgb="FF000000"/>
      <name val="Arial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9" fillId="0" borderId="0" applyNumberFormat="0" applyBorder="0" applyProtection="0"/>
    <xf numFmtId="0" fontId="19" fillId="0" borderId="0" applyNumberFormat="0" applyBorder="0" applyProtection="0"/>
    <xf numFmtId="168" fontId="19" fillId="0" borderId="0" applyBorder="0" applyProtection="0"/>
    <xf numFmtId="168" fontId="19" fillId="0" borderId="0" applyBorder="0" applyProtection="0"/>
    <xf numFmtId="0" fontId="20" fillId="0" borderId="0"/>
    <xf numFmtId="0" fontId="20" fillId="0" borderId="0"/>
    <xf numFmtId="169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/>
    <xf numFmtId="9" fontId="7" fillId="0" borderId="0" applyFont="0" applyFill="0" applyBorder="0" applyAlignment="0" applyProtection="0"/>
    <xf numFmtId="0" fontId="24" fillId="0" borderId="0" applyNumberFormat="0" applyBorder="0" applyProtection="0"/>
    <xf numFmtId="170" fontId="24" fillId="0" borderId="0" applyBorder="0" applyProtection="0"/>
    <xf numFmtId="43" fontId="20" fillId="0" borderId="0" applyFont="0" applyFill="0" applyBorder="0" applyAlignment="0" applyProtection="0"/>
    <xf numFmtId="168" fontId="19" fillId="0" borderId="0" applyBorder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165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4" fontId="7" fillId="0" borderId="6" xfId="2" applyFont="1" applyBorder="1" applyAlignment="1">
      <alignment vertical="center"/>
    </xf>
    <xf numFmtId="44" fontId="7" fillId="0" borderId="9" xfId="2" applyFont="1" applyFill="1" applyBorder="1" applyAlignment="1" applyProtection="1">
      <alignment horizontal="right" vertical="center" wrapText="1"/>
    </xf>
    <xf numFmtId="0" fontId="7" fillId="0" borderId="2" xfId="0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7" fontId="7" fillId="0" borderId="2" xfId="2" applyNumberFormat="1" applyFont="1" applyBorder="1" applyAlignment="1">
      <alignment horizontal="center"/>
    </xf>
    <xf numFmtId="7" fontId="7" fillId="0" borderId="2" xfId="2" applyNumberFormat="1" applyFont="1" applyFill="1" applyBorder="1" applyAlignment="1">
      <alignment horizontal="right"/>
    </xf>
    <xf numFmtId="7" fontId="3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0" fontId="7" fillId="0" borderId="6" xfId="2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15" fillId="0" borderId="8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4" fontId="7" fillId="0" borderId="5" xfId="2" applyFont="1" applyBorder="1" applyAlignment="1">
      <alignment vertical="center"/>
    </xf>
    <xf numFmtId="10" fontId="7" fillId="0" borderId="5" xfId="2" applyNumberFormat="1" applyFont="1" applyBorder="1" applyAlignment="1">
      <alignment horizontal="center" vertical="center"/>
    </xf>
    <xf numFmtId="44" fontId="7" fillId="0" borderId="3" xfId="2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7" fillId="0" borderId="0" xfId="0" applyFont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0" fontId="25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4" fontId="25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8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4" fontId="25" fillId="0" borderId="4" xfId="0" quotePrefix="1" applyNumberFormat="1" applyFont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0" fontId="7" fillId="7" borderId="4" xfId="0" applyFont="1" applyFill="1" applyBorder="1" applyAlignment="1">
      <alignment horizontal="right" vertical="center" indent="1"/>
    </xf>
    <xf numFmtId="0" fontId="11" fillId="7" borderId="5" xfId="0" applyFont="1" applyFill="1" applyBorder="1" applyAlignment="1">
      <alignment horizontal="right" vertical="center" indent="1"/>
    </xf>
    <xf numFmtId="0" fontId="0" fillId="0" borderId="0" xfId="0"/>
    <xf numFmtId="0" fontId="11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Fill="1" applyBorder="1" applyAlignment="1">
      <alignment horizontal="left" vertical="justify" wrapText="1"/>
    </xf>
    <xf numFmtId="0" fontId="7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/>
    <xf numFmtId="0" fontId="0" fillId="0" borderId="0" xfId="0" applyAlignment="1"/>
    <xf numFmtId="10" fontId="11" fillId="0" borderId="17" xfId="0" applyNumberFormat="1" applyFont="1" applyBorder="1" applyAlignment="1">
      <alignment horizontal="center"/>
    </xf>
    <xf numFmtId="10" fontId="11" fillId="0" borderId="18" xfId="0" applyNumberFormat="1" applyFont="1" applyBorder="1" applyAlignment="1">
      <alignment horizontal="center"/>
    </xf>
    <xf numFmtId="10" fontId="11" fillId="0" borderId="19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0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10" fontId="7" fillId="0" borderId="25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8" fillId="0" borderId="27" xfId="0" applyFont="1" applyBorder="1" applyAlignment="1">
      <alignment vertical="center"/>
    </xf>
    <xf numFmtId="10" fontId="0" fillId="0" borderId="28" xfId="0" applyNumberFormat="1" applyBorder="1" applyAlignment="1">
      <alignment horizontal="center" vertical="center"/>
    </xf>
    <xf numFmtId="10" fontId="0" fillId="0" borderId="0" xfId="0" applyNumberFormat="1" applyAlignme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/>
    <xf numFmtId="10" fontId="26" fillId="0" borderId="31" xfId="0" applyNumberFormat="1" applyFont="1" applyBorder="1" applyAlignment="1">
      <alignment horizontal="center" vertical="center"/>
    </xf>
    <xf numFmtId="0" fontId="34" fillId="0" borderId="0" xfId="0" applyFont="1"/>
    <xf numFmtId="10" fontId="36" fillId="4" borderId="4" xfId="0" applyNumberFormat="1" applyFont="1" applyFill="1" applyBorder="1" applyAlignment="1">
      <alignment horizontal="center" vertical="center"/>
    </xf>
    <xf numFmtId="10" fontId="36" fillId="0" borderId="4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71" fontId="27" fillId="0" borderId="4" xfId="0" applyNumberFormat="1" applyFont="1" applyFill="1" applyBorder="1" applyAlignment="1">
      <alignment horizontal="center" vertical="center"/>
    </xf>
    <xf numFmtId="10" fontId="36" fillId="5" borderId="4" xfId="0" applyNumberFormat="1" applyFont="1" applyFill="1" applyBorder="1" applyAlignment="1">
      <alignment horizontal="center" vertical="center"/>
    </xf>
    <xf numFmtId="10" fontId="36" fillId="6" borderId="4" xfId="0" applyNumberFormat="1" applyFont="1" applyFill="1" applyBorder="1" applyAlignment="1">
      <alignment horizontal="center" vertical="center"/>
    </xf>
    <xf numFmtId="10" fontId="36" fillId="6" borderId="2" xfId="0" applyNumberFormat="1" applyFont="1" applyFill="1" applyBorder="1" applyAlignment="1">
      <alignment horizontal="center" vertical="center"/>
    </xf>
    <xf numFmtId="171" fontId="27" fillId="0" borderId="11" xfId="0" applyNumberFormat="1" applyFont="1" applyFill="1" applyBorder="1" applyAlignment="1">
      <alignment horizontal="center" vertical="center"/>
    </xf>
    <xf numFmtId="171" fontId="27" fillId="0" borderId="2" xfId="0" applyNumberFormat="1" applyFont="1" applyFill="1" applyBorder="1" applyAlignment="1">
      <alignment horizontal="center" vertical="center"/>
    </xf>
    <xf numFmtId="10" fontId="36" fillId="0" borderId="2" xfId="0" applyNumberFormat="1" applyFont="1" applyFill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 vertical="center"/>
    </xf>
    <xf numFmtId="167" fontId="35" fillId="7" borderId="4" xfId="0" applyNumberFormat="1" applyFont="1" applyFill="1" applyBorder="1" applyAlignment="1">
      <alignment horizontal="center" vertical="center"/>
    </xf>
    <xf numFmtId="10" fontId="27" fillId="0" borderId="2" xfId="20" applyNumberFormat="1" applyFont="1" applyBorder="1" applyAlignment="1">
      <alignment horizontal="center" vertical="center"/>
    </xf>
    <xf numFmtId="10" fontId="35" fillId="7" borderId="4" xfId="2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32" fillId="0" borderId="0" xfId="0" applyFont="1" applyBorder="1" applyAlignment="1">
      <alignment horizontal="right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4" fillId="0" borderId="7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8" fontId="35" fillId="0" borderId="1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10" fontId="35" fillId="0" borderId="1" xfId="0" applyNumberFormat="1" applyFont="1" applyBorder="1" applyAlignment="1">
      <alignment horizontal="center" vertical="center"/>
    </xf>
    <xf numFmtId="10" fontId="35" fillId="0" borderId="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quotePrefix="1" applyNumberFormat="1" applyFont="1" applyBorder="1" applyAlignment="1">
      <alignment horizontal="center" vertical="center"/>
    </xf>
    <xf numFmtId="171" fontId="35" fillId="0" borderId="1" xfId="0" applyNumberFormat="1" applyFont="1" applyBorder="1" applyAlignment="1">
      <alignment horizontal="center" vertical="center"/>
    </xf>
    <xf numFmtId="171" fontId="35" fillId="0" borderId="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8" fontId="1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10" fontId="37" fillId="0" borderId="12" xfId="0" applyNumberFormat="1" applyFont="1" applyBorder="1" applyAlignment="1">
      <alignment horizontal="center" vertical="center"/>
    </xf>
    <xf numFmtId="10" fontId="37" fillId="0" borderId="13" xfId="0" applyNumberFormat="1" applyFont="1" applyBorder="1" applyAlignment="1">
      <alignment horizontal="center" vertical="center"/>
    </xf>
    <xf numFmtId="10" fontId="37" fillId="0" borderId="8" xfId="0" applyNumberFormat="1" applyFont="1" applyBorder="1" applyAlignment="1">
      <alignment horizontal="center" vertical="center"/>
    </xf>
    <xf numFmtId="0" fontId="11" fillId="7" borderId="10" xfId="0" applyFont="1" applyFill="1" applyBorder="1" applyAlignment="1">
      <alignment horizontal="right" vertical="center" indent="1"/>
    </xf>
    <xf numFmtId="0" fontId="11" fillId="7" borderId="12" xfId="0" applyFont="1" applyFill="1" applyBorder="1" applyAlignment="1">
      <alignment horizontal="right" vertical="center" indent="1"/>
    </xf>
    <xf numFmtId="171" fontId="35" fillId="0" borderId="13" xfId="0" applyNumberFormat="1" applyFont="1" applyBorder="1" applyAlignment="1">
      <alignment horizontal="center" vertical="center"/>
    </xf>
  </cellXfs>
  <cellStyles count="21">
    <cellStyle name="20% - Ênfase1 100" xfId="5"/>
    <cellStyle name="60% - Ênfase6 37" xfId="6"/>
    <cellStyle name="Excel Built-in Excel Built-in Excel Built-in Excel Built-in Excel Built-in Excel Built-in Excel Built-in Excel Built-in Separador de milhares 4" xfId="7"/>
    <cellStyle name="Excel Built-in Excel Built-in Excel Built-in Excel Built-in Excel Built-in Excel Built-in Excel Built-in Separador de milhares 4" xfId="8"/>
    <cellStyle name="Excel Built-in Normal" xfId="9"/>
    <cellStyle name="Excel Built-in Normal 1" xfId="10"/>
    <cellStyle name="Excel_BuiltIn_Comma" xfId="11"/>
    <cellStyle name="Heading" xfId="12"/>
    <cellStyle name="Heading1" xfId="13"/>
    <cellStyle name="Moeda" xfId="2" builtinId="4"/>
    <cellStyle name="Normal" xfId="0" builtinId="0"/>
    <cellStyle name="Normal 2" xfId="3"/>
    <cellStyle name="Normal 3" xfId="14"/>
    <cellStyle name="Porcentagem" xfId="20" builtinId="5"/>
    <cellStyle name="Porcentagem 2" xfId="15"/>
    <cellStyle name="Result" xfId="16"/>
    <cellStyle name="Result2" xfId="17"/>
    <cellStyle name="Separador de milhares 2" xfId="18"/>
    <cellStyle name="Separador de milhares 4" xfId="19"/>
    <cellStyle name="Vírgula" xfId="1" builtinId="3"/>
    <cellStyle name="Vírgul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workbookViewId="0">
      <selection sqref="A1:E2"/>
    </sheetView>
  </sheetViews>
  <sheetFormatPr defaultRowHeight="15"/>
  <cols>
    <col min="1" max="1" width="18.85546875" customWidth="1"/>
    <col min="3" max="3" width="24.5703125" bestFit="1" customWidth="1"/>
    <col min="4" max="4" width="31.42578125" customWidth="1"/>
  </cols>
  <sheetData>
    <row r="1" spans="1:5">
      <c r="A1" s="108" t="s">
        <v>96</v>
      </c>
      <c r="B1" s="108"/>
      <c r="C1" s="108"/>
      <c r="D1" s="108"/>
      <c r="E1" s="108"/>
    </row>
    <row r="2" spans="1:5">
      <c r="A2" s="108"/>
      <c r="B2" s="108"/>
      <c r="C2" s="108"/>
      <c r="D2" s="108"/>
      <c r="E2" s="108"/>
    </row>
    <row r="3" spans="1:5" ht="15.75" thickBot="1">
      <c r="A3" s="111" t="s">
        <v>97</v>
      </c>
      <c r="B3" s="111"/>
      <c r="C3" s="111"/>
      <c r="D3" s="111"/>
      <c r="E3" s="111"/>
    </row>
    <row r="4" spans="1:5">
      <c r="A4" s="62"/>
      <c r="B4" s="112" t="s">
        <v>98</v>
      </c>
      <c r="C4" s="113"/>
      <c r="D4" s="114"/>
      <c r="E4" s="63"/>
    </row>
    <row r="5" spans="1:5">
      <c r="A5" s="62"/>
      <c r="B5" s="69" t="s">
        <v>99</v>
      </c>
      <c r="C5" s="70" t="s">
        <v>100</v>
      </c>
      <c r="D5" s="71" t="s">
        <v>101</v>
      </c>
      <c r="E5" s="62"/>
    </row>
    <row r="6" spans="1:5">
      <c r="A6" s="72"/>
      <c r="B6" s="73" t="s">
        <v>102</v>
      </c>
      <c r="C6" s="74" t="s">
        <v>103</v>
      </c>
      <c r="D6" s="75">
        <v>0.02</v>
      </c>
      <c r="E6" s="72"/>
    </row>
    <row r="7" spans="1:5">
      <c r="A7" s="72"/>
      <c r="B7" s="76" t="s">
        <v>104</v>
      </c>
      <c r="C7" s="77" t="s">
        <v>105</v>
      </c>
      <c r="D7" s="78">
        <v>3.2000000000000002E-3</v>
      </c>
      <c r="E7" s="72"/>
    </row>
    <row r="8" spans="1:5">
      <c r="A8" s="72"/>
      <c r="B8" s="76" t="s">
        <v>106</v>
      </c>
      <c r="C8" s="77" t="s">
        <v>107</v>
      </c>
      <c r="D8" s="78">
        <v>4.3E-3</v>
      </c>
      <c r="E8" s="72"/>
    </row>
    <row r="9" spans="1:5">
      <c r="A9" s="72"/>
      <c r="B9" s="79"/>
      <c r="C9" s="80"/>
      <c r="D9" s="78"/>
      <c r="E9" s="72"/>
    </row>
    <row r="10" spans="1:5">
      <c r="A10" s="72"/>
      <c r="B10" s="76" t="s">
        <v>108</v>
      </c>
      <c r="C10" s="77" t="s">
        <v>109</v>
      </c>
      <c r="D10" s="78">
        <v>1.0200000000000001E-2</v>
      </c>
      <c r="E10" s="72"/>
    </row>
    <row r="11" spans="1:5">
      <c r="A11" s="72"/>
      <c r="B11" s="76" t="s">
        <v>110</v>
      </c>
      <c r="C11" s="77" t="s">
        <v>111</v>
      </c>
      <c r="D11" s="78">
        <v>7.0000000000000007E-2</v>
      </c>
      <c r="E11" s="72"/>
    </row>
    <row r="12" spans="1:5">
      <c r="A12" s="72"/>
      <c r="B12" s="76" t="s">
        <v>112</v>
      </c>
      <c r="C12" s="77" t="s">
        <v>113</v>
      </c>
      <c r="D12" s="78">
        <v>0.1115</v>
      </c>
      <c r="E12" s="72"/>
    </row>
    <row r="13" spans="1:5">
      <c r="A13" s="62"/>
      <c r="B13" s="81"/>
      <c r="C13" s="82" t="s">
        <v>114</v>
      </c>
      <c r="D13" s="83">
        <v>6.4999999999999997E-3</v>
      </c>
      <c r="E13" s="62"/>
    </row>
    <row r="14" spans="1:5">
      <c r="A14" s="62"/>
      <c r="B14" s="81"/>
      <c r="C14" s="82" t="s">
        <v>115</v>
      </c>
      <c r="D14" s="83">
        <v>0.03</v>
      </c>
      <c r="E14" s="62"/>
    </row>
    <row r="15" spans="1:5">
      <c r="A15" s="62"/>
      <c r="B15" s="81"/>
      <c r="C15" s="82" t="s">
        <v>116</v>
      </c>
      <c r="D15" s="83">
        <v>0.03</v>
      </c>
      <c r="E15" s="62"/>
    </row>
    <row r="16" spans="1:5">
      <c r="A16" s="62"/>
      <c r="B16" s="84"/>
      <c r="C16" s="85" t="s">
        <v>117</v>
      </c>
      <c r="D16" s="86">
        <v>4.4999999999999998E-2</v>
      </c>
      <c r="E16" s="62"/>
    </row>
    <row r="17" spans="1:5" ht="15.75" thickBot="1">
      <c r="A17" s="68"/>
      <c r="B17" s="119" t="s">
        <v>118</v>
      </c>
      <c r="C17" s="120"/>
      <c r="D17" s="91">
        <v>0.25</v>
      </c>
      <c r="E17" s="68"/>
    </row>
    <row r="18" spans="1:5">
      <c r="A18" s="68"/>
      <c r="B18" s="68"/>
      <c r="C18" s="68"/>
      <c r="D18" s="87"/>
      <c r="E18" s="68"/>
    </row>
    <row r="19" spans="1:5">
      <c r="A19" s="64"/>
      <c r="B19" s="121" t="s">
        <v>119</v>
      </c>
      <c r="C19" s="121"/>
      <c r="D19" s="121"/>
      <c r="E19" s="65"/>
    </row>
    <row r="20" spans="1:5">
      <c r="A20" s="64"/>
      <c r="B20" s="121"/>
      <c r="C20" s="121"/>
      <c r="D20" s="121"/>
      <c r="E20" s="67"/>
    </row>
    <row r="21" spans="1:5">
      <c r="A21" s="122"/>
      <c r="B21" s="122"/>
      <c r="C21" s="122"/>
      <c r="D21" s="122"/>
      <c r="E21" s="122"/>
    </row>
    <row r="22" spans="1:5" ht="6.75" customHeight="1">
      <c r="A22" s="122"/>
      <c r="B22" s="122"/>
      <c r="C22" s="122"/>
      <c r="D22" s="122"/>
      <c r="E22" s="122"/>
    </row>
    <row r="23" spans="1:5" hidden="1">
      <c r="A23" s="122"/>
      <c r="B23" s="122"/>
      <c r="C23" s="122"/>
      <c r="D23" s="122"/>
      <c r="E23" s="122"/>
    </row>
    <row r="24" spans="1:5">
      <c r="A24" s="64"/>
      <c r="B24" s="109" t="s">
        <v>120</v>
      </c>
      <c r="C24" s="109"/>
      <c r="D24" s="109"/>
      <c r="E24" s="109"/>
    </row>
    <row r="25" spans="1:5">
      <c r="A25" s="64"/>
      <c r="B25" s="109" t="s">
        <v>121</v>
      </c>
      <c r="C25" s="110"/>
      <c r="D25" s="110"/>
      <c r="E25" s="110"/>
    </row>
    <row r="26" spans="1:5">
      <c r="A26" s="64"/>
      <c r="B26" s="109" t="s">
        <v>122</v>
      </c>
      <c r="C26" s="110"/>
      <c r="D26" s="110"/>
      <c r="E26" s="110"/>
    </row>
    <row r="27" spans="1:5">
      <c r="A27" s="64"/>
      <c r="B27" s="109" t="s">
        <v>123</v>
      </c>
      <c r="C27" s="110"/>
      <c r="D27" s="110"/>
      <c r="E27" s="110"/>
    </row>
    <row r="28" spans="1:5">
      <c r="A28" s="64"/>
      <c r="B28" s="109" t="s">
        <v>124</v>
      </c>
      <c r="C28" s="110"/>
      <c r="D28" s="110"/>
      <c r="E28" s="110"/>
    </row>
    <row r="29" spans="1:5">
      <c r="A29" s="64"/>
      <c r="B29" s="109" t="s">
        <v>125</v>
      </c>
      <c r="C29" s="110"/>
      <c r="D29" s="110"/>
      <c r="E29" s="110"/>
    </row>
    <row r="30" spans="1:5">
      <c r="A30" s="64"/>
      <c r="B30" s="109" t="s">
        <v>126</v>
      </c>
      <c r="C30" s="110"/>
      <c r="D30" s="110"/>
      <c r="E30" s="110"/>
    </row>
    <row r="31" spans="1:5">
      <c r="A31" s="64"/>
      <c r="B31" s="117" t="s">
        <v>127</v>
      </c>
      <c r="C31" s="117"/>
      <c r="D31" s="117"/>
      <c r="E31" s="118"/>
    </row>
    <row r="32" spans="1:5">
      <c r="A32" s="66" t="s">
        <v>128</v>
      </c>
      <c r="B32" s="116" t="s">
        <v>129</v>
      </c>
      <c r="C32" s="116"/>
      <c r="D32" s="116"/>
      <c r="E32" s="116"/>
    </row>
    <row r="33" spans="1:5">
      <c r="A33" s="64"/>
      <c r="B33" s="64"/>
      <c r="C33" s="64"/>
      <c r="D33" s="64"/>
      <c r="E33" s="64"/>
    </row>
    <row r="34" spans="1:5">
      <c r="A34" s="64"/>
      <c r="B34" s="64"/>
      <c r="C34" s="115" t="s">
        <v>130</v>
      </c>
      <c r="D34" s="115"/>
      <c r="E34" s="64"/>
    </row>
    <row r="35" spans="1:5">
      <c r="A35" s="64"/>
      <c r="B35" s="64"/>
      <c r="C35" s="90"/>
      <c r="D35" s="90"/>
      <c r="E35" s="64"/>
    </row>
    <row r="36" spans="1:5">
      <c r="A36" s="64"/>
      <c r="B36" s="64"/>
      <c r="C36" s="90"/>
      <c r="D36" s="90"/>
      <c r="E36" s="64"/>
    </row>
    <row r="37" spans="1:5">
      <c r="A37" s="64"/>
      <c r="B37" s="64"/>
      <c r="C37" s="89" t="s">
        <v>131</v>
      </c>
      <c r="D37" s="89"/>
      <c r="E37" s="88"/>
    </row>
  </sheetData>
  <mergeCells count="16">
    <mergeCell ref="C34:D34"/>
    <mergeCell ref="B27:E27"/>
    <mergeCell ref="B32:E32"/>
    <mergeCell ref="B31:E31"/>
    <mergeCell ref="B17:C17"/>
    <mergeCell ref="B19:D20"/>
    <mergeCell ref="A21:E23"/>
    <mergeCell ref="B24:E24"/>
    <mergeCell ref="B25:E25"/>
    <mergeCell ref="B26:E26"/>
    <mergeCell ref="A1:E2"/>
    <mergeCell ref="B28:E28"/>
    <mergeCell ref="B29:E29"/>
    <mergeCell ref="B30:E30"/>
    <mergeCell ref="A3:E3"/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34" zoomScaleNormal="100" workbookViewId="0">
      <selection activeCell="I10" sqref="I10"/>
    </sheetView>
  </sheetViews>
  <sheetFormatPr defaultRowHeight="14.25"/>
  <cols>
    <col min="1" max="1" width="7.42578125" style="7" customWidth="1"/>
    <col min="2" max="2" width="8" style="7" customWidth="1"/>
    <col min="3" max="3" width="13.5703125" style="7" customWidth="1"/>
    <col min="4" max="4" width="53.28515625" style="7" customWidth="1"/>
    <col min="5" max="5" width="6" style="7" customWidth="1"/>
    <col min="6" max="6" width="9.42578125" style="7" customWidth="1"/>
    <col min="7" max="7" width="11" style="7" bestFit="1" customWidth="1"/>
    <col min="8" max="8" width="12.140625" style="7" customWidth="1"/>
    <col min="9" max="9" width="14.7109375" style="7" bestFit="1" customWidth="1"/>
    <col min="10" max="10" width="10.85546875" style="7" hidden="1" customWidth="1"/>
    <col min="11" max="11" width="12.28515625" style="7" hidden="1" customWidth="1"/>
    <col min="12" max="12" width="11.5703125" style="7" hidden="1" customWidth="1"/>
    <col min="13" max="13" width="13.85546875" style="7" hidden="1" customWidth="1"/>
    <col min="14" max="16" width="0" style="7" hidden="1" customWidth="1"/>
    <col min="17" max="17" width="9.85546875" style="7" hidden="1" customWidth="1"/>
    <col min="18" max="20" width="0" style="7" hidden="1" customWidth="1"/>
    <col min="21" max="16384" width="9.140625" style="7"/>
  </cols>
  <sheetData>
    <row r="1" spans="1:19" ht="35.1" customHeight="1">
      <c r="A1" s="128" t="s">
        <v>96</v>
      </c>
      <c r="B1" s="128"/>
      <c r="C1" s="128"/>
      <c r="D1" s="128"/>
      <c r="E1" s="128"/>
      <c r="F1" s="128"/>
      <c r="G1" s="128"/>
      <c r="H1" s="128"/>
      <c r="I1" s="128"/>
      <c r="J1" s="4"/>
      <c r="K1" s="4"/>
      <c r="L1" s="4"/>
      <c r="M1" s="4"/>
      <c r="N1" s="4"/>
      <c r="O1" s="4"/>
      <c r="P1" s="4"/>
      <c r="Q1" s="45">
        <v>99.44</v>
      </c>
      <c r="R1" s="2">
        <v>24.26</v>
      </c>
      <c r="S1" s="3"/>
    </row>
    <row r="2" spans="1:19" ht="20.100000000000001" customHeight="1">
      <c r="A2" s="129"/>
      <c r="B2" s="129"/>
      <c r="C2" s="129"/>
      <c r="D2" s="129"/>
      <c r="E2" s="129"/>
      <c r="F2" s="129"/>
      <c r="G2" s="129"/>
      <c r="H2" s="129"/>
      <c r="I2" s="129"/>
      <c r="J2" s="5"/>
      <c r="K2" s="5"/>
      <c r="L2" s="5"/>
      <c r="M2" s="5"/>
      <c r="N2" s="5"/>
      <c r="O2" s="5"/>
      <c r="P2" s="5"/>
      <c r="Q2" s="39">
        <v>38.76</v>
      </c>
      <c r="R2" s="2">
        <v>21.07</v>
      </c>
      <c r="S2" s="3"/>
    </row>
    <row r="3" spans="1:19" ht="15">
      <c r="A3" s="130" t="s">
        <v>77</v>
      </c>
      <c r="B3" s="130"/>
      <c r="C3" s="130"/>
      <c r="D3" s="130"/>
      <c r="E3" s="130"/>
      <c r="F3" s="130"/>
      <c r="G3" s="130"/>
      <c r="H3" s="130"/>
      <c r="I3" s="130"/>
      <c r="J3" s="6"/>
      <c r="K3" s="6"/>
      <c r="L3" s="6"/>
      <c r="M3" s="6"/>
      <c r="N3" s="6"/>
      <c r="O3" s="6"/>
      <c r="P3" s="6"/>
      <c r="Q3" s="40">
        <v>66.48</v>
      </c>
      <c r="R3" s="43">
        <f>SUM(R1:R2)</f>
        <v>45.33</v>
      </c>
      <c r="S3" s="3"/>
    </row>
    <row r="4" spans="1:19" s="8" customFormat="1" ht="20.100000000000001" customHeight="1">
      <c r="A4" s="127"/>
      <c r="B4" s="127"/>
      <c r="C4" s="127"/>
      <c r="D4" s="127"/>
      <c r="E4" s="127"/>
      <c r="F4" s="127"/>
      <c r="G4" s="127"/>
      <c r="H4" s="127"/>
      <c r="I4" s="127"/>
      <c r="Q4" s="44">
        <f>SUM(Q1:Q3)</f>
        <v>204.68</v>
      </c>
    </row>
    <row r="5" spans="1:19" s="8" customFormat="1" ht="20.100000000000001" customHeight="1">
      <c r="A5" s="126" t="s">
        <v>95</v>
      </c>
      <c r="B5" s="126"/>
      <c r="C5" s="126"/>
      <c r="D5" s="126"/>
      <c r="E5" s="126"/>
      <c r="F5" s="126"/>
      <c r="G5" s="126"/>
      <c r="H5" s="127"/>
      <c r="I5" s="126"/>
    </row>
    <row r="6" spans="1:19" s="10" customFormat="1" ht="15" customHeight="1">
      <c r="A6" s="124" t="s">
        <v>8</v>
      </c>
      <c r="B6" s="124" t="s">
        <v>9</v>
      </c>
      <c r="C6" s="124" t="s">
        <v>5</v>
      </c>
      <c r="D6" s="124" t="s">
        <v>2</v>
      </c>
      <c r="E6" s="124" t="s">
        <v>3</v>
      </c>
      <c r="F6" s="124" t="s">
        <v>4</v>
      </c>
      <c r="G6" s="124" t="s">
        <v>7</v>
      </c>
      <c r="H6" s="31" t="s">
        <v>12</v>
      </c>
      <c r="I6" s="124" t="s">
        <v>14</v>
      </c>
    </row>
    <row r="7" spans="1:19" s="11" customFormat="1" ht="15" customHeight="1">
      <c r="A7" s="125"/>
      <c r="B7" s="125"/>
      <c r="C7" s="125"/>
      <c r="D7" s="125"/>
      <c r="E7" s="125"/>
      <c r="F7" s="125"/>
      <c r="G7" s="125"/>
      <c r="H7" s="32">
        <v>0.25</v>
      </c>
      <c r="I7" s="125"/>
    </row>
    <row r="8" spans="1:19" s="11" customFormat="1" ht="15" customHeight="1">
      <c r="A8" s="56">
        <v>1</v>
      </c>
      <c r="B8" s="56"/>
      <c r="C8" s="30"/>
      <c r="D8" s="12" t="s">
        <v>59</v>
      </c>
      <c r="E8" s="13"/>
      <c r="F8" s="13"/>
      <c r="G8" s="14"/>
      <c r="H8" s="28"/>
      <c r="I8" s="15"/>
    </row>
    <row r="9" spans="1:19" s="11" customFormat="1" ht="15" customHeight="1">
      <c r="A9" s="24" t="s">
        <v>10</v>
      </c>
      <c r="B9" s="24" t="s">
        <v>37</v>
      </c>
      <c r="C9" s="1" t="s">
        <v>76</v>
      </c>
      <c r="D9" s="22" t="s">
        <v>60</v>
      </c>
      <c r="E9" s="16" t="s">
        <v>0</v>
      </c>
      <c r="F9" s="17">
        <v>4.5</v>
      </c>
      <c r="G9" s="18">
        <v>572.83000000000004</v>
      </c>
      <c r="H9" s="18">
        <f>G9*(1+$H$7)</f>
        <v>716.03750000000002</v>
      </c>
      <c r="I9" s="19">
        <f t="shared" ref="I9" si="0">H9*F9</f>
        <v>3222.1687500000003</v>
      </c>
    </row>
    <row r="10" spans="1:19" s="11" customFormat="1" ht="15" customHeight="1">
      <c r="A10" s="21"/>
      <c r="B10" s="25"/>
      <c r="C10" s="25"/>
      <c r="D10" s="9"/>
      <c r="E10" s="9"/>
      <c r="F10" s="9"/>
      <c r="G10" s="9"/>
      <c r="H10" s="26" t="s">
        <v>32</v>
      </c>
      <c r="I10" s="20">
        <f>SUM(I9)</f>
        <v>3222.1687500000003</v>
      </c>
    </row>
    <row r="11" spans="1:19">
      <c r="A11" s="29">
        <v>2</v>
      </c>
      <c r="B11" s="29"/>
      <c r="C11" s="30"/>
      <c r="D11" s="12" t="s">
        <v>89</v>
      </c>
      <c r="E11" s="13"/>
      <c r="F11" s="13"/>
      <c r="G11" s="14"/>
      <c r="H11" s="28"/>
      <c r="I11" s="15"/>
    </row>
    <row r="12" spans="1:19" ht="25.5">
      <c r="A12" s="24" t="s">
        <v>11</v>
      </c>
      <c r="B12" s="24" t="s">
        <v>37</v>
      </c>
      <c r="C12" s="1" t="s">
        <v>16</v>
      </c>
      <c r="D12" s="22" t="s">
        <v>15</v>
      </c>
      <c r="E12" s="16" t="s">
        <v>0</v>
      </c>
      <c r="F12" s="17">
        <v>834.88</v>
      </c>
      <c r="G12" s="18">
        <v>8.36</v>
      </c>
      <c r="H12" s="18">
        <f>G12*(1+$H$7)</f>
        <v>10.45</v>
      </c>
      <c r="I12" s="19">
        <f t="shared" ref="I12:I17" si="1">H12*F12</f>
        <v>8724.4959999999992</v>
      </c>
      <c r="J12" s="7">
        <v>834.88</v>
      </c>
    </row>
    <row r="13" spans="1:19" ht="25.5">
      <c r="A13" s="24" t="s">
        <v>18</v>
      </c>
      <c r="B13" s="24" t="s">
        <v>37</v>
      </c>
      <c r="C13" s="1" t="s">
        <v>50</v>
      </c>
      <c r="D13" s="22" t="s">
        <v>49</v>
      </c>
      <c r="E13" s="16" t="s">
        <v>0</v>
      </c>
      <c r="F13" s="17">
        <v>877.19</v>
      </c>
      <c r="G13" s="18">
        <v>13.59</v>
      </c>
      <c r="H13" s="18">
        <f>G13*(1+$H$7)</f>
        <v>16.987500000000001</v>
      </c>
      <c r="I13" s="19">
        <f t="shared" si="1"/>
        <v>14901.265125000002</v>
      </c>
      <c r="J13" s="7">
        <f>834.88+23.05+19.26</f>
        <v>877.18999999999994</v>
      </c>
    </row>
    <row r="14" spans="1:19">
      <c r="A14" s="24" t="s">
        <v>19</v>
      </c>
      <c r="B14" s="24" t="s">
        <v>37</v>
      </c>
      <c r="C14" s="1" t="s">
        <v>36</v>
      </c>
      <c r="D14" s="22" t="s">
        <v>44</v>
      </c>
      <c r="E14" s="16" t="s">
        <v>1</v>
      </c>
      <c r="F14" s="17">
        <v>125.23</v>
      </c>
      <c r="G14" s="18">
        <v>143.04</v>
      </c>
      <c r="H14" s="18">
        <f>G14*(1+$H$7)</f>
        <v>178.79999999999998</v>
      </c>
      <c r="I14" s="19">
        <f t="shared" si="1"/>
        <v>22391.124</v>
      </c>
      <c r="J14" s="7">
        <f>834.88*0.15</f>
        <v>125.232</v>
      </c>
    </row>
    <row r="15" spans="1:19">
      <c r="A15" s="24" t="s">
        <v>30</v>
      </c>
      <c r="B15" s="46" t="s">
        <v>37</v>
      </c>
      <c r="C15" s="47" t="s">
        <v>51</v>
      </c>
      <c r="D15" s="48" t="s">
        <v>52</v>
      </c>
      <c r="E15" s="49" t="s">
        <v>0</v>
      </c>
      <c r="F15" s="17">
        <v>834.88</v>
      </c>
      <c r="G15" s="50">
        <v>9.5500000000000007</v>
      </c>
      <c r="H15" s="51">
        <f>ROUND(G15*1.25,2)</f>
        <v>11.94</v>
      </c>
      <c r="I15" s="19">
        <f t="shared" si="1"/>
        <v>9968.4671999999991</v>
      </c>
      <c r="J15" s="7">
        <v>834.88</v>
      </c>
    </row>
    <row r="16" spans="1:19">
      <c r="A16" s="24" t="s">
        <v>31</v>
      </c>
      <c r="B16" s="46" t="s">
        <v>37</v>
      </c>
      <c r="C16" s="47" t="s">
        <v>53</v>
      </c>
      <c r="D16" s="48" t="s">
        <v>54</v>
      </c>
      <c r="E16" s="49" t="s">
        <v>0</v>
      </c>
      <c r="F16" s="17">
        <v>834.88</v>
      </c>
      <c r="G16" s="50">
        <v>4.17</v>
      </c>
      <c r="H16" s="51">
        <f>ROUND(G16*1.25,2)</f>
        <v>5.21</v>
      </c>
      <c r="I16" s="19">
        <f t="shared" si="1"/>
        <v>4349.7248</v>
      </c>
      <c r="J16" s="7">
        <v>834.88</v>
      </c>
    </row>
    <row r="17" spans="1:18" ht="25.5">
      <c r="A17" s="24" t="s">
        <v>61</v>
      </c>
      <c r="B17" s="46" t="s">
        <v>37</v>
      </c>
      <c r="C17" s="52" t="s">
        <v>55</v>
      </c>
      <c r="D17" s="53" t="s">
        <v>57</v>
      </c>
      <c r="E17" s="54" t="s">
        <v>56</v>
      </c>
      <c r="F17" s="17">
        <v>29.22</v>
      </c>
      <c r="G17" s="55">
        <v>927.71</v>
      </c>
      <c r="H17" s="51">
        <f>ROUND(G17*1.25,2)</f>
        <v>1159.6400000000001</v>
      </c>
      <c r="I17" s="19">
        <f t="shared" si="1"/>
        <v>33884.680800000002</v>
      </c>
      <c r="J17" s="7">
        <f>834.88*0.035</f>
        <v>29.220800000000004</v>
      </c>
    </row>
    <row r="18" spans="1:18">
      <c r="A18" s="21"/>
      <c r="B18" s="25"/>
      <c r="C18" s="25"/>
      <c r="D18" s="9"/>
      <c r="E18" s="9"/>
      <c r="F18" s="9"/>
      <c r="G18" s="9"/>
      <c r="H18" s="26" t="s">
        <v>32</v>
      </c>
      <c r="I18" s="20">
        <f>SUM(I12:I17)</f>
        <v>94219.757924999998</v>
      </c>
    </row>
    <row r="19" spans="1:18">
      <c r="A19" s="33">
        <v>3</v>
      </c>
      <c r="B19" s="33"/>
      <c r="C19" s="23"/>
      <c r="D19" s="34" t="s">
        <v>17</v>
      </c>
      <c r="E19" s="35"/>
      <c r="F19" s="35"/>
      <c r="G19" s="36"/>
      <c r="H19" s="37"/>
      <c r="I19" s="38"/>
      <c r="J19" s="7" t="s">
        <v>28</v>
      </c>
      <c r="K19" s="7" t="s">
        <v>29</v>
      </c>
    </row>
    <row r="20" spans="1:18">
      <c r="A20" s="33" t="s">
        <v>62</v>
      </c>
      <c r="B20" s="33"/>
      <c r="C20" s="23"/>
      <c r="D20" s="34" t="s">
        <v>58</v>
      </c>
      <c r="E20" s="35"/>
      <c r="F20" s="35"/>
      <c r="G20" s="36"/>
      <c r="H20" s="37"/>
      <c r="I20" s="38"/>
    </row>
    <row r="21" spans="1:18" ht="25.5">
      <c r="A21" s="24" t="s">
        <v>63</v>
      </c>
      <c r="B21" s="24" t="s">
        <v>37</v>
      </c>
      <c r="C21" s="1" t="s">
        <v>21</v>
      </c>
      <c r="D21" s="22" t="s">
        <v>20</v>
      </c>
      <c r="E21" s="16" t="s">
        <v>1</v>
      </c>
      <c r="F21" s="17">
        <v>336.77699999999999</v>
      </c>
      <c r="G21" s="18">
        <v>41.82</v>
      </c>
      <c r="H21" s="18">
        <f>G21*(1+$H$7)</f>
        <v>52.274999999999999</v>
      </c>
      <c r="I21" s="19">
        <f>H21*F21</f>
        <v>17605.017674999999</v>
      </c>
      <c r="J21" s="7">
        <f>4.5675-1.131</f>
        <v>3.4364999999999997</v>
      </c>
      <c r="K21" s="7">
        <f>J21*98</f>
        <v>336.77699999999999</v>
      </c>
      <c r="Q21" s="41">
        <v>0.27129999999999999</v>
      </c>
      <c r="R21" s="42" t="s">
        <v>41</v>
      </c>
    </row>
    <row r="22" spans="1:18">
      <c r="A22" s="24" t="s">
        <v>64</v>
      </c>
      <c r="B22" s="24" t="s">
        <v>37</v>
      </c>
      <c r="C22" s="1" t="s">
        <v>25</v>
      </c>
      <c r="D22" s="22" t="s">
        <v>24</v>
      </c>
      <c r="E22" s="16" t="s">
        <v>1</v>
      </c>
      <c r="F22" s="17">
        <v>336.77699999999999</v>
      </c>
      <c r="G22" s="18">
        <v>13</v>
      </c>
      <c r="H22" s="18">
        <f>G22*(1+$H$7)</f>
        <v>16.25</v>
      </c>
      <c r="I22" s="19">
        <f>H22*F22</f>
        <v>5472.6262499999993</v>
      </c>
      <c r="Q22" s="41">
        <v>3.7499999999999999E-2</v>
      </c>
      <c r="R22" s="41" t="s">
        <v>42</v>
      </c>
    </row>
    <row r="23" spans="1:18" ht="25.5">
      <c r="A23" s="24" t="s">
        <v>65</v>
      </c>
      <c r="B23" s="24" t="s">
        <v>37</v>
      </c>
      <c r="C23" s="1" t="s">
        <v>23</v>
      </c>
      <c r="D23" s="22" t="s">
        <v>22</v>
      </c>
      <c r="E23" s="16" t="s">
        <v>0</v>
      </c>
      <c r="F23" s="17">
        <v>450.8</v>
      </c>
      <c r="G23" s="18">
        <v>13.6</v>
      </c>
      <c r="H23" s="18">
        <f>G23*(1+$H$7)</f>
        <v>17</v>
      </c>
      <c r="I23" s="19">
        <f>H23*F23</f>
        <v>7663.6</v>
      </c>
      <c r="J23" s="7">
        <f>4.6*98</f>
        <v>450.79999999999995</v>
      </c>
    </row>
    <row r="24" spans="1:18">
      <c r="A24" s="33" t="s">
        <v>66</v>
      </c>
      <c r="B24" s="33"/>
      <c r="C24" s="23"/>
      <c r="D24" s="34" t="s">
        <v>47</v>
      </c>
      <c r="E24" s="35"/>
      <c r="F24" s="35"/>
      <c r="G24" s="36"/>
      <c r="H24" s="37"/>
      <c r="I24" s="38"/>
    </row>
    <row r="25" spans="1:18" ht="25.5">
      <c r="A25" s="24" t="s">
        <v>67</v>
      </c>
      <c r="B25" s="24" t="s">
        <v>37</v>
      </c>
      <c r="C25" s="1" t="s">
        <v>21</v>
      </c>
      <c r="D25" s="22" t="s">
        <v>20</v>
      </c>
      <c r="E25" s="16" t="s">
        <v>1</v>
      </c>
      <c r="F25" s="17">
        <v>34.196800000000003</v>
      </c>
      <c r="G25" s="18">
        <v>41.82</v>
      </c>
      <c r="H25" s="18">
        <f>G25*(1+$H$7)</f>
        <v>52.274999999999999</v>
      </c>
      <c r="I25" s="19">
        <f>H25*F25</f>
        <v>1787.6377200000002</v>
      </c>
      <c r="J25" s="7">
        <f>2.64-0.5027</f>
        <v>2.1373000000000002</v>
      </c>
      <c r="K25" s="7">
        <f>J25*16</f>
        <v>34.196800000000003</v>
      </c>
    </row>
    <row r="26" spans="1:18">
      <c r="A26" s="24" t="s">
        <v>68</v>
      </c>
      <c r="B26" s="24" t="s">
        <v>37</v>
      </c>
      <c r="C26" s="1" t="s">
        <v>25</v>
      </c>
      <c r="D26" s="22" t="s">
        <v>24</v>
      </c>
      <c r="E26" s="16" t="s">
        <v>1</v>
      </c>
      <c r="F26" s="17">
        <v>34.196800000000003</v>
      </c>
      <c r="G26" s="18">
        <v>13</v>
      </c>
      <c r="H26" s="18">
        <f>G26*(1+$H$7)</f>
        <v>16.25</v>
      </c>
      <c r="I26" s="19">
        <f>H26*F26</f>
        <v>555.69800000000009</v>
      </c>
    </row>
    <row r="27" spans="1:18">
      <c r="A27" s="24" t="s">
        <v>69</v>
      </c>
      <c r="B27" s="24" t="s">
        <v>37</v>
      </c>
      <c r="C27" s="1" t="s">
        <v>33</v>
      </c>
      <c r="D27" s="22" t="s">
        <v>35</v>
      </c>
      <c r="E27" s="16" t="s">
        <v>34</v>
      </c>
      <c r="F27" s="17">
        <v>16</v>
      </c>
      <c r="G27" s="18">
        <v>141.26</v>
      </c>
      <c r="H27" s="18">
        <f>G27*(1+$H$7)</f>
        <v>176.57499999999999</v>
      </c>
      <c r="I27" s="19">
        <f>H27*F27</f>
        <v>2825.2</v>
      </c>
      <c r="J27" s="7">
        <f>8+8</f>
        <v>16</v>
      </c>
    </row>
    <row r="28" spans="1:18" ht="25.5">
      <c r="A28" s="24" t="s">
        <v>70</v>
      </c>
      <c r="B28" s="24" t="s">
        <v>37</v>
      </c>
      <c r="C28" s="1" t="s">
        <v>23</v>
      </c>
      <c r="D28" s="22" t="s">
        <v>22</v>
      </c>
      <c r="E28" s="16" t="s">
        <v>0</v>
      </c>
      <c r="F28" s="17">
        <v>73.599999999999994</v>
      </c>
      <c r="G28" s="18">
        <v>13.6</v>
      </c>
      <c r="H28" s="18">
        <f>G28*(1+$H$7)</f>
        <v>17</v>
      </c>
      <c r="I28" s="19">
        <f>H28*F28</f>
        <v>1251.1999999999998</v>
      </c>
      <c r="J28" s="7">
        <f>4.6*16</f>
        <v>73.599999999999994</v>
      </c>
    </row>
    <row r="29" spans="1:18">
      <c r="A29" s="33" t="s">
        <v>71</v>
      </c>
      <c r="B29" s="33"/>
      <c r="C29" s="23"/>
      <c r="D29" s="34" t="s">
        <v>48</v>
      </c>
      <c r="E29" s="35"/>
      <c r="F29" s="35"/>
      <c r="G29" s="36"/>
      <c r="H29" s="37"/>
      <c r="I29" s="38"/>
    </row>
    <row r="30" spans="1:18" ht="25.5">
      <c r="A30" s="24" t="s">
        <v>72</v>
      </c>
      <c r="B30" s="24" t="s">
        <v>37</v>
      </c>
      <c r="C30" s="1" t="s">
        <v>27</v>
      </c>
      <c r="D30" s="22" t="s">
        <v>45</v>
      </c>
      <c r="E30" s="16" t="s">
        <v>26</v>
      </c>
      <c r="F30" s="17">
        <v>2</v>
      </c>
      <c r="G30" s="18">
        <v>1261.8499999999999</v>
      </c>
      <c r="H30" s="18">
        <f>G30*(1+$H$7)</f>
        <v>1577.3125</v>
      </c>
      <c r="I30" s="19">
        <f>H30*F30</f>
        <v>3154.625</v>
      </c>
      <c r="J30" s="7">
        <v>1261.8499999999999</v>
      </c>
    </row>
    <row r="31" spans="1:18" ht="25.5">
      <c r="A31" s="24" t="s">
        <v>73</v>
      </c>
      <c r="B31" s="24" t="s">
        <v>37</v>
      </c>
      <c r="C31" s="1" t="s">
        <v>27</v>
      </c>
      <c r="D31" s="22" t="s">
        <v>46</v>
      </c>
      <c r="E31" s="16" t="s">
        <v>26</v>
      </c>
      <c r="F31" s="17">
        <v>1</v>
      </c>
      <c r="G31" s="18">
        <v>2511.41</v>
      </c>
      <c r="H31" s="18">
        <f>G31*(1+$H$7)</f>
        <v>3139.2624999999998</v>
      </c>
      <c r="I31" s="19">
        <f>H31*F31</f>
        <v>3139.2624999999998</v>
      </c>
      <c r="J31" s="7">
        <f>366.47+1872.87+272.07</f>
        <v>2511.4100000000003</v>
      </c>
      <c r="Q31" s="7">
        <f>0.3*0.15</f>
        <v>4.4999999999999998E-2</v>
      </c>
    </row>
    <row r="32" spans="1:18" ht="25.5">
      <c r="A32" s="24" t="s">
        <v>74</v>
      </c>
      <c r="B32" s="24" t="s">
        <v>37</v>
      </c>
      <c r="C32" s="1" t="s">
        <v>38</v>
      </c>
      <c r="D32" s="22" t="s">
        <v>39</v>
      </c>
      <c r="E32" s="16" t="s">
        <v>1</v>
      </c>
      <c r="F32" s="17">
        <v>7.6755000000000004</v>
      </c>
      <c r="G32" s="18">
        <v>504.31</v>
      </c>
      <c r="H32" s="18">
        <f>G32*(1+$H$7)</f>
        <v>630.38750000000005</v>
      </c>
      <c r="I32" s="19">
        <f>H32*F32</f>
        <v>4838.539256250001</v>
      </c>
      <c r="J32" s="7">
        <f>204.68*0.0375</f>
        <v>7.6754999999999995</v>
      </c>
    </row>
    <row r="33" spans="1:13" ht="25.5">
      <c r="A33" s="24" t="s">
        <v>75</v>
      </c>
      <c r="B33" s="24" t="s">
        <v>37</v>
      </c>
      <c r="C33" s="1" t="s">
        <v>38</v>
      </c>
      <c r="D33" s="22" t="s">
        <v>40</v>
      </c>
      <c r="E33" s="16" t="s">
        <v>1</v>
      </c>
      <c r="F33" s="17">
        <v>12.298030000000001</v>
      </c>
      <c r="G33" s="18">
        <v>504.31</v>
      </c>
      <c r="H33" s="18">
        <f>G33*(1+$H$7)</f>
        <v>630.38750000000005</v>
      </c>
      <c r="I33" s="19">
        <f>H33*F33</f>
        <v>7752.5243866250012</v>
      </c>
      <c r="J33" s="7">
        <f>45.33*0.2713</f>
        <v>12.298029</v>
      </c>
      <c r="M33" s="7">
        <f>1.99/5</f>
        <v>0.39800000000000002</v>
      </c>
    </row>
    <row r="34" spans="1:13">
      <c r="A34" s="21"/>
      <c r="B34" s="25"/>
      <c r="C34" s="25"/>
      <c r="D34" s="9"/>
      <c r="E34" s="9"/>
      <c r="F34" s="9"/>
      <c r="G34" s="9"/>
      <c r="H34" s="26" t="s">
        <v>32</v>
      </c>
      <c r="I34" s="20">
        <f>SUM(I21:I33)</f>
        <v>56045.930787874982</v>
      </c>
    </row>
    <row r="35" spans="1:13">
      <c r="A35" s="21"/>
      <c r="B35" s="25"/>
      <c r="C35" s="25"/>
      <c r="D35" s="9"/>
      <c r="E35" s="9"/>
      <c r="F35" s="9"/>
      <c r="G35" s="9"/>
      <c r="H35" s="26" t="s">
        <v>13</v>
      </c>
      <c r="I35" s="20">
        <f>I10+I18+I34</f>
        <v>153487.85746287496</v>
      </c>
    </row>
    <row r="36" spans="1:13" ht="25.5" customHeight="1">
      <c r="A36" s="27" t="s">
        <v>6</v>
      </c>
      <c r="B36" s="123" t="s">
        <v>43</v>
      </c>
      <c r="C36" s="123"/>
      <c r="D36" s="123"/>
      <c r="E36" s="123"/>
      <c r="F36" s="123"/>
      <c r="G36" s="123"/>
      <c r="H36" s="123"/>
      <c r="I36" s="123"/>
    </row>
    <row r="38" spans="1:13">
      <c r="K38" s="7">
        <f>4.6-1.131</f>
        <v>3.4689999999999994</v>
      </c>
    </row>
    <row r="39" spans="1:13">
      <c r="D39" s="92" t="s">
        <v>132</v>
      </c>
    </row>
    <row r="40" spans="1:13">
      <c r="D40" s="92"/>
    </row>
    <row r="41" spans="1:13">
      <c r="D41" s="92" t="s">
        <v>131</v>
      </c>
    </row>
  </sheetData>
  <mergeCells count="14">
    <mergeCell ref="A5:I5"/>
    <mergeCell ref="A1:I1"/>
    <mergeCell ref="A2:I2"/>
    <mergeCell ref="A3:I3"/>
    <mergeCell ref="A4:I4"/>
    <mergeCell ref="B36:I36"/>
    <mergeCell ref="G6:G7"/>
    <mergeCell ref="I6:I7"/>
    <mergeCell ref="A6:A7"/>
    <mergeCell ref="B6:B7"/>
    <mergeCell ref="C6:C7"/>
    <mergeCell ref="D6:D7"/>
    <mergeCell ref="E6:E7"/>
    <mergeCell ref="F6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>
      <selection activeCell="H23" sqref="H23"/>
    </sheetView>
  </sheetViews>
  <sheetFormatPr defaultRowHeight="15"/>
  <cols>
    <col min="3" max="3" width="27.140625" bestFit="1" customWidth="1"/>
    <col min="4" max="5" width="12" bestFit="1" customWidth="1"/>
    <col min="6" max="7" width="13.140625" bestFit="1" customWidth="1"/>
    <col min="8" max="8" width="19.28515625" bestFit="1" customWidth="1"/>
    <col min="9" max="9" width="11.28515625" bestFit="1" customWidth="1"/>
  </cols>
  <sheetData>
    <row r="1" spans="2:10">
      <c r="B1" s="152" t="s">
        <v>96</v>
      </c>
      <c r="C1" s="152"/>
      <c r="D1" s="152"/>
      <c r="E1" s="152"/>
      <c r="F1" s="152"/>
      <c r="G1" s="152"/>
      <c r="H1" s="152"/>
      <c r="I1" s="152"/>
    </row>
    <row r="2" spans="2:10">
      <c r="B2" s="152"/>
      <c r="C2" s="152"/>
      <c r="D2" s="152"/>
      <c r="E2" s="152"/>
      <c r="F2" s="152"/>
      <c r="G2" s="152"/>
      <c r="H2" s="152"/>
      <c r="I2" s="152"/>
    </row>
    <row r="3" spans="2:10">
      <c r="B3" s="145" t="s">
        <v>78</v>
      </c>
      <c r="C3" s="145"/>
      <c r="D3" s="145"/>
      <c r="E3" s="145"/>
      <c r="F3" s="145"/>
      <c r="G3" s="145"/>
      <c r="H3" s="145"/>
      <c r="I3" s="145"/>
    </row>
    <row r="4" spans="2:10" ht="37.5" customHeight="1">
      <c r="B4" s="130" t="s">
        <v>77</v>
      </c>
      <c r="C4" s="130"/>
      <c r="D4" s="130"/>
      <c r="E4" s="130"/>
      <c r="F4" s="130"/>
      <c r="G4" s="130"/>
      <c r="H4" s="130"/>
      <c r="I4" s="130"/>
      <c r="J4" s="130"/>
    </row>
    <row r="5" spans="2:10">
      <c r="B5" s="146" t="s">
        <v>79</v>
      </c>
      <c r="C5" s="146"/>
      <c r="D5" s="146"/>
      <c r="E5" s="146"/>
      <c r="F5" s="146"/>
      <c r="G5" s="146"/>
      <c r="H5" s="146"/>
      <c r="I5" s="146"/>
    </row>
    <row r="6" spans="2:10">
      <c r="B6" s="143" t="s">
        <v>80</v>
      </c>
      <c r="C6" s="143" t="s">
        <v>81</v>
      </c>
      <c r="D6" s="147" t="s">
        <v>82</v>
      </c>
      <c r="E6" s="148"/>
      <c r="F6" s="148"/>
      <c r="G6" s="149"/>
      <c r="H6" s="143" t="s">
        <v>83</v>
      </c>
      <c r="I6" s="150" t="s">
        <v>84</v>
      </c>
    </row>
    <row r="7" spans="2:10">
      <c r="B7" s="144"/>
      <c r="C7" s="143"/>
      <c r="D7" s="57" t="s">
        <v>85</v>
      </c>
      <c r="E7" s="57" t="s">
        <v>86</v>
      </c>
      <c r="F7" s="57" t="s">
        <v>87</v>
      </c>
      <c r="G7" s="57" t="s">
        <v>88</v>
      </c>
      <c r="H7" s="144"/>
      <c r="I7" s="151"/>
    </row>
    <row r="8" spans="2:10">
      <c r="B8" s="131">
        <v>1</v>
      </c>
      <c r="C8" s="141" t="s">
        <v>59</v>
      </c>
      <c r="D8" s="93"/>
      <c r="E8" s="94"/>
      <c r="F8" s="95"/>
      <c r="G8" s="96"/>
      <c r="H8" s="133">
        <v>3222.1687500000003</v>
      </c>
      <c r="I8" s="135">
        <f>H8/H14</f>
        <v>2.0992988000887079E-2</v>
      </c>
    </row>
    <row r="9" spans="2:10">
      <c r="B9" s="132"/>
      <c r="C9" s="142"/>
      <c r="D9" s="97">
        <f>H8</f>
        <v>3222.1687500000003</v>
      </c>
      <c r="E9" s="97"/>
      <c r="F9" s="95"/>
      <c r="G9" s="96"/>
      <c r="H9" s="134"/>
      <c r="I9" s="136"/>
    </row>
    <row r="10" spans="2:10">
      <c r="B10" s="137">
        <v>2</v>
      </c>
      <c r="C10" s="141" t="s">
        <v>89</v>
      </c>
      <c r="D10" s="98"/>
      <c r="E10" s="99"/>
      <c r="F10" s="99"/>
      <c r="G10" s="100"/>
      <c r="H10" s="139">
        <v>94219.757924999998</v>
      </c>
      <c r="I10" s="135">
        <f>H10/H14</f>
        <v>0.61385805680289396</v>
      </c>
    </row>
    <row r="11" spans="2:10">
      <c r="B11" s="138"/>
      <c r="C11" s="142"/>
      <c r="D11" s="97"/>
      <c r="E11" s="97">
        <f>H10/3</f>
        <v>31406.585974999998</v>
      </c>
      <c r="F11" s="101">
        <f>E11</f>
        <v>31406.585974999998</v>
      </c>
      <c r="G11" s="102">
        <f>E11</f>
        <v>31406.585974999998</v>
      </c>
      <c r="H11" s="140"/>
      <c r="I11" s="136"/>
    </row>
    <row r="12" spans="2:10">
      <c r="B12" s="137">
        <v>3</v>
      </c>
      <c r="C12" s="153" t="s">
        <v>17</v>
      </c>
      <c r="D12" s="99"/>
      <c r="E12" s="99"/>
      <c r="F12" s="98"/>
      <c r="G12" s="103"/>
      <c r="H12" s="139">
        <v>56045.930787874982</v>
      </c>
      <c r="I12" s="135">
        <f>H12/H14</f>
        <v>0.36514895519621904</v>
      </c>
    </row>
    <row r="13" spans="2:10">
      <c r="B13" s="138"/>
      <c r="C13" s="142"/>
      <c r="D13" s="97">
        <f>H12/2</f>
        <v>28022.965393937491</v>
      </c>
      <c r="E13" s="97">
        <f>D13</f>
        <v>28022.965393937491</v>
      </c>
      <c r="F13" s="97"/>
      <c r="G13" s="102"/>
      <c r="H13" s="140"/>
      <c r="I13" s="136"/>
    </row>
    <row r="14" spans="2:10">
      <c r="B14" s="154" t="s">
        <v>90</v>
      </c>
      <c r="C14" s="155"/>
      <c r="D14" s="104">
        <f t="shared" ref="D14:I14" si="0">SUM(D8:D13)</f>
        <v>31245.134143937492</v>
      </c>
      <c r="E14" s="104">
        <f t="shared" si="0"/>
        <v>59429.551368937493</v>
      </c>
      <c r="F14" s="104">
        <f t="shared" si="0"/>
        <v>31406.585974999998</v>
      </c>
      <c r="G14" s="104">
        <f t="shared" si="0"/>
        <v>31406.585974999998</v>
      </c>
      <c r="H14" s="139">
        <f t="shared" si="0"/>
        <v>153487.85746287496</v>
      </c>
      <c r="I14" s="156">
        <f t="shared" si="0"/>
        <v>1</v>
      </c>
    </row>
    <row r="15" spans="2:10">
      <c r="B15" s="159" t="s">
        <v>91</v>
      </c>
      <c r="C15" s="160"/>
      <c r="D15" s="105">
        <f>D14</f>
        <v>31245.134143937492</v>
      </c>
      <c r="E15" s="105">
        <f>E14+D15</f>
        <v>90674.685512874988</v>
      </c>
      <c r="F15" s="105">
        <f>F14+E15</f>
        <v>122081.27148787498</v>
      </c>
      <c r="G15" s="105">
        <f>G14+F15</f>
        <v>153487.85746287499</v>
      </c>
      <c r="H15" s="161"/>
      <c r="I15" s="157"/>
    </row>
    <row r="16" spans="2:10">
      <c r="B16" s="58"/>
      <c r="C16" s="59" t="s">
        <v>92</v>
      </c>
      <c r="D16" s="106">
        <f>D14/H14</f>
        <v>0.20356746559899661</v>
      </c>
      <c r="E16" s="106">
        <f>E14/H14</f>
        <v>0.38719382986574086</v>
      </c>
      <c r="F16" s="106">
        <f>F14/H14</f>
        <v>0.20461935226763134</v>
      </c>
      <c r="G16" s="106">
        <f>G14/H14</f>
        <v>0.20461935226763134</v>
      </c>
      <c r="H16" s="161"/>
      <c r="I16" s="157"/>
    </row>
    <row r="17" spans="2:9">
      <c r="B17" s="60" t="s">
        <v>93</v>
      </c>
      <c r="C17" s="61" t="s">
        <v>94</v>
      </c>
      <c r="D17" s="107">
        <f>D16</f>
        <v>0.20356746559899661</v>
      </c>
      <c r="E17" s="107">
        <f>E16+D17</f>
        <v>0.59076129546473743</v>
      </c>
      <c r="F17" s="107">
        <f>F16+E17</f>
        <v>0.79538064773236883</v>
      </c>
      <c r="G17" s="107">
        <f>G16+F17</f>
        <v>1.0000000000000002</v>
      </c>
      <c r="H17" s="140"/>
      <c r="I17" s="158"/>
    </row>
    <row r="20" spans="2:9">
      <c r="C20" s="92" t="s">
        <v>132</v>
      </c>
    </row>
    <row r="21" spans="2:9">
      <c r="C21" s="92"/>
    </row>
    <row r="22" spans="2:9">
      <c r="C22" s="92" t="s">
        <v>131</v>
      </c>
    </row>
  </sheetData>
  <mergeCells count="25">
    <mergeCell ref="B1:I2"/>
    <mergeCell ref="C12:C13"/>
    <mergeCell ref="I12:I13"/>
    <mergeCell ref="B14:C14"/>
    <mergeCell ref="I14:I17"/>
    <mergeCell ref="B15:C15"/>
    <mergeCell ref="B12:B13"/>
    <mergeCell ref="H12:H13"/>
    <mergeCell ref="H14:H17"/>
    <mergeCell ref="B3:I3"/>
    <mergeCell ref="B5:I5"/>
    <mergeCell ref="C6:C7"/>
    <mergeCell ref="D6:G6"/>
    <mergeCell ref="I6:I7"/>
    <mergeCell ref="B8:B9"/>
    <mergeCell ref="H8:H9"/>
    <mergeCell ref="I8:I9"/>
    <mergeCell ref="B4:J4"/>
    <mergeCell ref="B10:B11"/>
    <mergeCell ref="H10:H11"/>
    <mergeCell ref="C8:C9"/>
    <mergeCell ref="B6:B7"/>
    <mergeCell ref="H6:H7"/>
    <mergeCell ref="C10:C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BDI</vt:lpstr>
      <vt:lpstr>ORÇAMENTO </vt:lpstr>
      <vt:lpstr>CRONOGRAMA DE EXECUÇÃO</vt:lpstr>
      <vt:lpstr>'ORÇAMENTO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2018-09-10T17:54:15Z</dcterms:created>
  <dcterms:modified xsi:type="dcterms:W3CDTF">2021-08-30T17:00:48Z</dcterms:modified>
</cp:coreProperties>
</file>